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75" windowWidth="8460" windowHeight="6795" activeTab="0"/>
  </bookViews>
  <sheets>
    <sheet name="מולדות" sheetId="1" r:id="rId1"/>
    <sheet name="עזר" sheetId="2" r:id="rId2"/>
  </sheets>
  <definedNames>
    <definedName name="_ftn1" localSheetId="0">'מולדות'!#REF!</definedName>
    <definedName name="_ftnref1" localSheetId="0">'מולדות'!$A$42</definedName>
    <definedName name="_xlfn.BAHTTEXT" hidden="1">#NAME?</definedName>
  </definedNames>
  <calcPr fullCalcOnLoad="1"/>
</workbook>
</file>

<file path=xl/sharedStrings.xml><?xml version="1.0" encoding="utf-8"?>
<sst xmlns="http://schemas.openxmlformats.org/spreadsheetml/2006/main" count="154" uniqueCount="90">
  <si>
    <t>:</t>
  </si>
  <si>
    <t>=</t>
  </si>
  <si>
    <t>שארית</t>
  </si>
  <si>
    <t>מחזורים</t>
  </si>
  <si>
    <t>x</t>
  </si>
  <si>
    <t>הכפלת הימים</t>
  </si>
  <si>
    <t>הכפלת השעות</t>
  </si>
  <si>
    <t>הכפלת החלקים</t>
  </si>
  <si>
    <t>פעמים הפרש המולדות בין כל מחזור (בי"ו תקצ"ה)</t>
  </si>
  <si>
    <t xml:space="preserve">נכפיל  </t>
  </si>
  <si>
    <t>פעמים הפרש המולדות של שנה פשוטה (ד"ח תתע"ו)</t>
  </si>
  <si>
    <t xml:space="preserve">נכפיל </t>
  </si>
  <si>
    <t>פעמים הפרש המולדות של שנה מעוברת (הכ"א תקפ"ט)</t>
  </si>
  <si>
    <t>פעמים הפרש המולדות בין חודש לחודש (אי"ב תשצ"ג)</t>
  </si>
  <si>
    <t>3a</t>
  </si>
  <si>
    <t>3b</t>
  </si>
  <si>
    <t>3c</t>
  </si>
  <si>
    <t>4a</t>
  </si>
  <si>
    <t>4b</t>
  </si>
  <si>
    <t>4c</t>
  </si>
  <si>
    <t>5a</t>
  </si>
  <si>
    <t>5b</t>
  </si>
  <si>
    <t>5c</t>
  </si>
  <si>
    <t>6a</t>
  </si>
  <si>
    <t>6b</t>
  </si>
  <si>
    <t>6c</t>
  </si>
  <si>
    <t>כעת נסכם את משוואות (3-6), ימים לחוד, שעות לחוד וחלקים לחוד,
 ונוסיף להם את המולד של המחזור הראשון 2 ימים 5 שעות ו-204 חלקים (מולד בהר"ד)</t>
  </si>
  <si>
    <t>משוואה</t>
  </si>
  <si>
    <t>בהר"ד</t>
  </si>
  <si>
    <t>סה"כ</t>
  </si>
  <si>
    <t>+</t>
  </si>
  <si>
    <t>ימים</t>
  </si>
  <si>
    <t>שעות</t>
  </si>
  <si>
    <t>חלקים</t>
  </si>
  <si>
    <t>7a</t>
  </si>
  <si>
    <t>7b</t>
  </si>
  <si>
    <t>7c</t>
  </si>
  <si>
    <t>8a</t>
  </si>
  <si>
    <t>מהעברה</t>
  </si>
  <si>
    <t>משוואה 7</t>
  </si>
  <si>
    <t>שלמים (להעברה)</t>
  </si>
  <si>
    <t>שבועות</t>
  </si>
  <si>
    <t>) :</t>
  </si>
  <si>
    <t>תשרי</t>
  </si>
  <si>
    <t>כסלו</t>
  </si>
  <si>
    <t>חשון</t>
  </si>
  <si>
    <t>טבת</t>
  </si>
  <si>
    <t>שבט</t>
  </si>
  <si>
    <t>מספר שנים פשוטות שעברו במחזור</t>
  </si>
  <si>
    <t>מספר שנים מעוברות שעברו במחזור</t>
  </si>
  <si>
    <t>פרוט החישוב</t>
  </si>
  <si>
    <t>שעה</t>
  </si>
  <si>
    <t>ניתוח השנה</t>
  </si>
  <si>
    <t>אלפים</t>
  </si>
  <si>
    <t xml:space="preserve">מאות </t>
  </si>
  <si>
    <t>עשרות</t>
  </si>
  <si>
    <t>אחדות</t>
  </si>
  <si>
    <t>מ</t>
  </si>
  <si>
    <t>נ</t>
  </si>
  <si>
    <t>צ</t>
  </si>
  <si>
    <t>פ</t>
  </si>
  <si>
    <t>ך</t>
  </si>
  <si>
    <t>8b (</t>
  </si>
  <si>
    <t>8c (</t>
  </si>
  <si>
    <t>דקות</t>
  </si>
  <si>
    <t xml:space="preserve">הכנס במספרים את השנה לבריאת העולם </t>
  </si>
  <si>
    <t>הכנסת נתונים</t>
  </si>
  <si>
    <t>השאריות</t>
  </si>
  <si>
    <t>התוצאות שקבלנו:</t>
  </si>
  <si>
    <t>ה"תרגום" לשעון שלנו:</t>
  </si>
  <si>
    <t>הלוחות שבימנו:</t>
  </si>
  <si>
    <t>לפני כל ראש חודש מכריז החזן: "המולד יהיה ב..." - מי מבין את זה? איך זה מחושב? התשובות לפניך</t>
  </si>
  <si>
    <t xml:space="preserve">א"ר יסא... דמן יומוי לא צלית מוספא
 מן דלא ידע אימת ירחא. 
(ירושלמי סנהדרין פ"ה הל"ג) </t>
  </si>
  <si>
    <t>התוצאה לפי הלוחות</t>
  </si>
  <si>
    <t>התוצאה לפי הרמב"ם</t>
  </si>
  <si>
    <t>הלכה ה' והלכה י"ב</t>
  </si>
  <si>
    <t>הלכות י"ד-ט"ו</t>
  </si>
  <si>
    <t xml:space="preserve">בחר מהטבלה את מספר הסידורי של החודש </t>
  </si>
  <si>
    <t>מה אם כן קורה כאן?</t>
  </si>
  <si>
    <t xml:space="preserve"> הלכה י"ג</t>
  </si>
  <si>
    <t>הלכה ט'</t>
  </si>
  <si>
    <t>כעת יש להפוך כל 1,080 חלקים לשעות ולהוסיף אותן למניין השעות. לאחר צרופן למניין השעות יש להפוך כל 24 שעות לימים ולהוסיף אותם למניין הימים. לאחר צרופם למניין הימים יש להפוך כל שבעה ימים לשבועות.</t>
  </si>
  <si>
    <t>הכל קורה בגלל ש"היממה" של חז"ל לחישוב המולד מתחילה בתחילת הלילה, 6 שעות 'שוות' לפני חצות הלילה. כלומר שעה ראשונה אצל חז"ל היא בין 6 ל-7 בערב (בין השעה 18:00 לשעה 19:00) לפי השעון שנהוג בעולם המערבי המוכר לנו. לכן המולי"ם  של הלוחות בימינו "תרגמו" את שעון חז"ל לשעון המוכר לנו . כמו כן 3,600 שניות שבשעה שלנו שוות ל-1,080 חלקים שבשעת חז"ל. כך שכל חלק שווה ל-3 שניות ו-1/3 השניה. מאחר ובדקה אחת ישנן 60 שניות השוות ל-18 חלקים, "תרגמו" המולי"ם את כל החלקים שמצטרפים לדקות (מעל 18 חלקים) וקיבצום לדקות, ורק את שארית החלקים לא "תרגמו" לשניות אלא השאירו אותם כמות שהם - "חלקים". ימי השבוע באים במחזוריות מיום שבת ועד יום שישי (ימים מ-0  ועד 6 בחישובים), לכן המולי"ם "תרגמו" את מספרי הימים, לימים במילים
לכן אם כן, "נתרגם" גם אנחנו כמוהם את המולד שחישבנו לפי הכללים הנ"ל ונקבל</t>
  </si>
  <si>
    <t>מחשבון לחישוב המולדות</t>
  </si>
  <si>
    <t>מאת ניסן יואלי</t>
  </si>
  <si>
    <t>כל החישובים נעשים ע"פ רמב"ם הלכות קידוש החודש פרק ו'.</t>
  </si>
  <si>
    <t>תחלה נחשב את מספר המחזורים השלמים שעברו מאז בריאת העולם, ואת שארית השנים השלמות 
שבתוך המחזור הנוכחי כמה מהן שנים פשוטות וכמה מעוברות.</t>
  </si>
  <si>
    <t>כיצד מחשבים את המולדות?</t>
  </si>
  <si>
    <t>טבלת המספר הסידורי של החודש בשנה</t>
  </si>
  <si>
    <t xml:space="preserve">הסבר נרחב יותר על צורת החישוב ראה במאמרו של ניסן יואלי: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</si>
</sst>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_ * #,##0.0_ ;_ * \-#,##0.0_ ;_ * &quot;-&quot;??_ ;_ @_ "/>
    <numFmt numFmtId="169" formatCode="_ * #,##0_ ;_ * \-#,##0_ ;_ * &quot;-&quot;??_ ;_ @_ "/>
  </numFmts>
  <fonts count="21">
    <font>
      <sz val="10"/>
      <name val="Arial"/>
      <family val="0"/>
    </font>
    <font>
      <u val="single"/>
      <sz val="10"/>
      <color indexed="12"/>
      <name val="Arial"/>
      <family val="0"/>
    </font>
    <font>
      <b/>
      <sz val="10"/>
      <name val="Arial"/>
      <family val="2"/>
    </font>
    <font>
      <b/>
      <sz val="14"/>
      <name val="Arial"/>
      <family val="2"/>
    </font>
    <font>
      <sz val="8"/>
      <name val="Arial"/>
      <family val="0"/>
    </font>
    <font>
      <sz val="14"/>
      <name val="Arial"/>
      <family val="2"/>
    </font>
    <font>
      <b/>
      <sz val="14"/>
      <color indexed="10"/>
      <name val="Arial"/>
      <family val="2"/>
    </font>
    <font>
      <sz val="14"/>
      <color indexed="10"/>
      <name val="Arial"/>
      <family val="2"/>
    </font>
    <font>
      <sz val="14"/>
      <color indexed="57"/>
      <name val="Arial"/>
      <family val="2"/>
    </font>
    <font>
      <b/>
      <sz val="14"/>
      <color indexed="60"/>
      <name val="Arial"/>
      <family val="2"/>
    </font>
    <font>
      <b/>
      <sz val="14"/>
      <color indexed="53"/>
      <name val="Arial"/>
      <family val="2"/>
    </font>
    <font>
      <b/>
      <sz val="14"/>
      <color indexed="57"/>
      <name val="Arial"/>
      <family val="2"/>
    </font>
    <font>
      <sz val="14"/>
      <color indexed="16"/>
      <name val="Arial"/>
      <family val="2"/>
    </font>
    <font>
      <b/>
      <sz val="14"/>
      <name val="David"/>
      <family val="0"/>
    </font>
    <font>
      <sz val="14"/>
      <name val="David"/>
      <family val="0"/>
    </font>
    <font>
      <b/>
      <sz val="13"/>
      <name val="David"/>
      <family val="0"/>
    </font>
    <font>
      <b/>
      <sz val="20"/>
      <name val="Arial"/>
      <family val="2"/>
    </font>
    <font>
      <sz val="14"/>
      <color indexed="53"/>
      <name val="Arial"/>
      <family val="2"/>
    </font>
    <font>
      <sz val="14"/>
      <color indexed="12"/>
      <name val="Arial"/>
      <family val="2"/>
    </font>
    <font>
      <u val="single"/>
      <sz val="10"/>
      <color indexed="36"/>
      <name val="Arial"/>
      <family val="0"/>
    </font>
    <font>
      <b/>
      <u val="single"/>
      <sz val="14"/>
      <color indexed="12"/>
      <name val="Arial"/>
      <family val="2"/>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2"/>
        <bgColor indexed="64"/>
      </patternFill>
    </fill>
    <fill>
      <patternFill patternType="solid">
        <fgColor indexed="15"/>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5" fillId="2" borderId="0" xfId="0" applyFont="1" applyFill="1" applyBorder="1" applyAlignment="1">
      <alignment/>
    </xf>
    <xf numFmtId="0" fontId="5" fillId="2" borderId="0" xfId="0" applyFont="1" applyFill="1" applyBorder="1" applyAlignment="1">
      <alignment horizontal="center"/>
    </xf>
    <xf numFmtId="0" fontId="5" fillId="2" borderId="0" xfId="0" applyFont="1" applyFill="1" applyBorder="1" applyAlignment="1">
      <alignment horizontal="left"/>
    </xf>
    <xf numFmtId="0" fontId="5" fillId="3" borderId="0" xfId="0" applyFont="1" applyFill="1" applyBorder="1" applyAlignment="1">
      <alignment/>
    </xf>
    <xf numFmtId="0" fontId="5" fillId="0" borderId="0" xfId="0" applyFont="1" applyBorder="1" applyAlignment="1">
      <alignment horizontal="right"/>
    </xf>
    <xf numFmtId="0" fontId="5" fillId="0" borderId="0" xfId="0" applyFont="1" applyBorder="1" applyAlignment="1">
      <alignment horizontal="left"/>
    </xf>
    <xf numFmtId="0" fontId="5" fillId="0" borderId="0" xfId="0" applyFont="1" applyBorder="1" applyAlignment="1">
      <alignment horizontal="right" vertical="top" wrapText="1" readingOrder="1"/>
    </xf>
    <xf numFmtId="0" fontId="3" fillId="0" borderId="0" xfId="0" applyFont="1" applyBorder="1" applyAlignment="1">
      <alignment horizontal="center" vertical="top" wrapText="1" readingOrder="1"/>
    </xf>
    <xf numFmtId="0" fontId="5" fillId="0" borderId="0" xfId="0" applyFont="1" applyBorder="1" applyAlignment="1">
      <alignment horizontal="center" vertical="top" wrapText="1" readingOrder="1"/>
    </xf>
    <xf numFmtId="3" fontId="5" fillId="0" borderId="0" xfId="0" applyNumberFormat="1" applyFont="1" applyBorder="1" applyAlignment="1">
      <alignment horizontal="center" vertical="top" wrapText="1" readingOrder="1"/>
    </xf>
    <xf numFmtId="0" fontId="5" fillId="0" borderId="0" xfId="0" applyFont="1" applyBorder="1" applyAlignment="1">
      <alignment horizontal="right" vertical="top" wrapText="1" readingOrder="2"/>
    </xf>
    <xf numFmtId="0" fontId="5" fillId="0" borderId="0" xfId="0" applyFont="1" applyBorder="1" applyAlignment="1">
      <alignment horizontal="center" vertical="top" wrapText="1" readingOrder="2"/>
    </xf>
    <xf numFmtId="0" fontId="5" fillId="0" borderId="0" xfId="0" applyFont="1" applyBorder="1" applyAlignment="1">
      <alignment horizontal="center" wrapText="1"/>
    </xf>
    <xf numFmtId="0" fontId="5" fillId="4" borderId="0" xfId="0" applyFont="1" applyFill="1" applyBorder="1" applyAlignment="1">
      <alignment horizontal="center"/>
    </xf>
    <xf numFmtId="0" fontId="5" fillId="5" borderId="0" xfId="0" applyFont="1" applyFill="1" applyBorder="1" applyAlignment="1">
      <alignment horizontal="center"/>
    </xf>
    <xf numFmtId="0" fontId="5" fillId="6" borderId="0" xfId="0" applyFont="1" applyFill="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5" fillId="3" borderId="0" xfId="0" applyFont="1" applyFill="1" applyBorder="1" applyAlignment="1">
      <alignment horizontal="center"/>
    </xf>
    <xf numFmtId="0" fontId="5" fillId="0" borderId="0" xfId="0" applyFont="1" applyFill="1" applyBorder="1" applyAlignment="1">
      <alignment/>
    </xf>
    <xf numFmtId="0" fontId="9"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vertical="top" wrapText="1" readingOrder="1"/>
    </xf>
    <xf numFmtId="3" fontId="9" fillId="0" borderId="0" xfId="0" applyNumberFormat="1" applyFont="1" applyBorder="1" applyAlignment="1">
      <alignment horizontal="center" vertical="top" wrapText="1" readingOrder="1"/>
    </xf>
    <xf numFmtId="0" fontId="10" fillId="0" borderId="0" xfId="0" applyFont="1" applyBorder="1" applyAlignment="1">
      <alignment horizontal="center" vertical="top" wrapText="1" readingOrder="1"/>
    </xf>
    <xf numFmtId="3" fontId="10" fillId="0" borderId="0" xfId="0" applyNumberFormat="1" applyFont="1" applyBorder="1" applyAlignment="1">
      <alignment horizontal="center" vertical="top" wrapText="1" readingOrder="1"/>
    </xf>
    <xf numFmtId="0" fontId="11" fillId="0" borderId="0" xfId="0" applyFont="1" applyBorder="1" applyAlignment="1">
      <alignment horizontal="center" vertical="top" wrapText="1" readingOrder="1"/>
    </xf>
    <xf numFmtId="3" fontId="11" fillId="0" borderId="0" xfId="0" applyNumberFormat="1" applyFont="1" applyBorder="1" applyAlignment="1">
      <alignment horizontal="center" vertical="top" wrapText="1" readingOrder="1"/>
    </xf>
    <xf numFmtId="3" fontId="3" fillId="0" borderId="0" xfId="0" applyNumberFormat="1" applyFont="1" applyBorder="1" applyAlignment="1">
      <alignment horizontal="center" vertical="top" wrapText="1" readingOrder="1"/>
    </xf>
    <xf numFmtId="0" fontId="3" fillId="0" borderId="0" xfId="0" applyFont="1" applyFill="1" applyBorder="1" applyAlignment="1">
      <alignment horizontal="center"/>
    </xf>
    <xf numFmtId="0" fontId="3" fillId="0" borderId="0" xfId="0" applyFont="1" applyBorder="1" applyAlignment="1">
      <alignment/>
    </xf>
    <xf numFmtId="0" fontId="5" fillId="7" borderId="0" xfId="0" applyFont="1" applyFill="1" applyBorder="1" applyAlignment="1">
      <alignment horizontal="center"/>
    </xf>
    <xf numFmtId="0" fontId="5" fillId="7" borderId="0" xfId="0" applyFont="1" applyFill="1" applyBorder="1" applyAlignment="1">
      <alignment/>
    </xf>
    <xf numFmtId="0" fontId="5" fillId="7" borderId="0" xfId="0" applyFont="1" applyFill="1" applyBorder="1" applyAlignment="1">
      <alignment horizontal="left"/>
    </xf>
    <xf numFmtId="0" fontId="3" fillId="7" borderId="0" xfId="0" applyFont="1" applyFill="1" applyBorder="1" applyAlignment="1">
      <alignment/>
    </xf>
    <xf numFmtId="0" fontId="6" fillId="7" borderId="0" xfId="0" applyFont="1" applyFill="1" applyBorder="1" applyAlignment="1">
      <alignment horizontal="left"/>
    </xf>
    <xf numFmtId="0" fontId="5"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left" vertical="top" wrapText="1" readingOrder="1"/>
    </xf>
    <xf numFmtId="3" fontId="3" fillId="0" borderId="0" xfId="15" applyNumberFormat="1" applyFont="1" applyFill="1" applyBorder="1" applyAlignment="1">
      <alignment horizontal="center"/>
    </xf>
    <xf numFmtId="0" fontId="5" fillId="0" borderId="0" xfId="0" applyFont="1" applyFill="1" applyBorder="1" applyAlignment="1">
      <alignment horizontal="left"/>
    </xf>
    <xf numFmtId="169" fontId="5" fillId="0" borderId="0" xfId="0" applyNumberFormat="1" applyFont="1" applyFill="1" applyBorder="1" applyAlignment="1">
      <alignment horizontal="center"/>
    </xf>
    <xf numFmtId="3" fontId="5" fillId="0" borderId="0" xfId="0" applyNumberFormat="1" applyFont="1" applyFill="1" applyBorder="1" applyAlignment="1">
      <alignment horizontal="center" vertical="top" wrapText="1" readingOrder="1"/>
    </xf>
    <xf numFmtId="0" fontId="8" fillId="0" borderId="0" xfId="0" applyFont="1" applyFill="1" applyBorder="1" applyAlignment="1">
      <alignment horizontal="center"/>
    </xf>
    <xf numFmtId="0" fontId="5" fillId="0" borderId="0" xfId="0" applyFont="1" applyFill="1" applyBorder="1" applyAlignment="1">
      <alignment horizontal="right"/>
    </xf>
    <xf numFmtId="0" fontId="5" fillId="8" borderId="0" xfId="0" applyFont="1" applyFill="1" applyBorder="1" applyAlignment="1">
      <alignment/>
    </xf>
    <xf numFmtId="0" fontId="5" fillId="8" borderId="0" xfId="0" applyFont="1" applyFill="1" applyBorder="1" applyAlignment="1">
      <alignment horizontal="center"/>
    </xf>
    <xf numFmtId="3" fontId="5" fillId="8" borderId="0" xfId="0" applyNumberFormat="1" applyFont="1" applyFill="1" applyBorder="1" applyAlignment="1">
      <alignment horizontal="center"/>
    </xf>
    <xf numFmtId="3" fontId="5" fillId="3" borderId="0" xfId="0" applyNumberFormat="1" applyFont="1" applyFill="1" applyBorder="1" applyAlignment="1">
      <alignment horizontal="center" wrapText="1"/>
    </xf>
    <xf numFmtId="3" fontId="5" fillId="3" borderId="0" xfId="0" applyNumberFormat="1" applyFont="1" applyFill="1" applyBorder="1" applyAlignment="1">
      <alignment horizontal="center"/>
    </xf>
    <xf numFmtId="3" fontId="5" fillId="3" borderId="0" xfId="0" applyNumberFormat="1" applyFont="1" applyFill="1" applyBorder="1" applyAlignment="1">
      <alignment horizontal="center" vertical="top" wrapText="1" readingOrder="2"/>
    </xf>
    <xf numFmtId="3" fontId="5" fillId="0" borderId="0" xfId="0" applyNumberFormat="1" applyFont="1" applyBorder="1" applyAlignment="1">
      <alignment horizontal="center" vertical="top" wrapText="1" readingOrder="2"/>
    </xf>
    <xf numFmtId="3" fontId="5" fillId="4" borderId="0" xfId="0" applyNumberFormat="1" applyFont="1" applyFill="1" applyBorder="1" applyAlignment="1">
      <alignment horizontal="center" vertical="top" wrapText="1" readingOrder="2"/>
    </xf>
    <xf numFmtId="3" fontId="5" fillId="5" borderId="0" xfId="0" applyNumberFormat="1" applyFont="1" applyFill="1" applyBorder="1" applyAlignment="1">
      <alignment horizontal="center" vertical="top" wrapText="1" readingOrder="2"/>
    </xf>
    <xf numFmtId="3" fontId="5" fillId="2" borderId="0" xfId="0" applyNumberFormat="1" applyFont="1" applyFill="1" applyBorder="1" applyAlignment="1">
      <alignment horizontal="center" vertical="top" wrapText="1" readingOrder="2"/>
    </xf>
    <xf numFmtId="3" fontId="5" fillId="6" borderId="0" xfId="0" applyNumberFormat="1" applyFont="1" applyFill="1" applyBorder="1" applyAlignment="1">
      <alignment horizontal="center" vertical="top" wrapText="1" readingOrder="2"/>
    </xf>
    <xf numFmtId="3" fontId="5" fillId="4" borderId="0" xfId="0" applyNumberFormat="1" applyFont="1" applyFill="1" applyBorder="1" applyAlignment="1">
      <alignment horizontal="center" vertical="top" wrapText="1" readingOrder="1"/>
    </xf>
    <xf numFmtId="3" fontId="5" fillId="5" borderId="0" xfId="0" applyNumberFormat="1" applyFont="1" applyFill="1" applyBorder="1" applyAlignment="1">
      <alignment horizontal="center" vertical="top" wrapText="1" readingOrder="1"/>
    </xf>
    <xf numFmtId="3" fontId="5" fillId="2" borderId="0" xfId="0" applyNumberFormat="1" applyFont="1" applyFill="1" applyBorder="1" applyAlignment="1">
      <alignment horizontal="center" vertical="top" wrapText="1" readingOrder="1"/>
    </xf>
    <xf numFmtId="3" fontId="5" fillId="6" borderId="0" xfId="0" applyNumberFormat="1" applyFont="1" applyFill="1" applyBorder="1" applyAlignment="1">
      <alignment horizontal="center" vertical="top" wrapText="1" readingOrder="1"/>
    </xf>
    <xf numFmtId="3" fontId="5" fillId="6" borderId="0" xfId="15" applyNumberFormat="1" applyFont="1" applyFill="1" applyBorder="1" applyAlignment="1">
      <alignment horizontal="center" vertical="top" wrapText="1" readingOrder="1"/>
    </xf>
    <xf numFmtId="3" fontId="5" fillId="2" borderId="0" xfId="15" applyNumberFormat="1" applyFont="1" applyFill="1" applyBorder="1" applyAlignment="1">
      <alignment horizontal="center" vertical="top" wrapText="1" readingOrder="1"/>
    </xf>
    <xf numFmtId="3" fontId="5" fillId="5" borderId="0" xfId="15" applyNumberFormat="1" applyFont="1" applyFill="1" applyBorder="1" applyAlignment="1">
      <alignment horizontal="center" vertical="top" wrapText="1" readingOrder="1"/>
    </xf>
    <xf numFmtId="3" fontId="5" fillId="4" borderId="0" xfId="15" applyNumberFormat="1" applyFont="1" applyFill="1" applyBorder="1" applyAlignment="1">
      <alignment horizontal="center" vertical="top" wrapText="1" readingOrder="1"/>
    </xf>
    <xf numFmtId="0" fontId="13" fillId="3" borderId="0" xfId="0" applyFont="1" applyFill="1" applyBorder="1" applyAlignment="1">
      <alignment horizontal="center"/>
    </xf>
    <xf numFmtId="0" fontId="13" fillId="3" borderId="0" xfId="0" applyFont="1" applyFill="1" applyBorder="1" applyAlignment="1">
      <alignment/>
    </xf>
    <xf numFmtId="0" fontId="16" fillId="0" borderId="0" xfId="0" applyFont="1" applyBorder="1" applyAlignment="1">
      <alignment/>
    </xf>
    <xf numFmtId="0" fontId="15" fillId="0" borderId="0" xfId="0" applyFont="1" applyBorder="1" applyAlignment="1">
      <alignment vertical="top" wrapText="1" readingOrder="2"/>
    </xf>
    <xf numFmtId="0" fontId="16" fillId="0" borderId="0" xfId="0" applyFont="1" applyFill="1" applyBorder="1" applyAlignment="1">
      <alignment/>
    </xf>
    <xf numFmtId="0" fontId="17" fillId="0" borderId="0" xfId="0" applyFont="1" applyBorder="1" applyAlignment="1">
      <alignment vertical="center"/>
    </xf>
    <xf numFmtId="0" fontId="18" fillId="0" borderId="0" xfId="0" applyFont="1" applyBorder="1" applyAlignment="1">
      <alignment/>
    </xf>
    <xf numFmtId="0" fontId="5" fillId="0" borderId="0" xfId="0" applyFont="1" applyBorder="1" applyAlignment="1">
      <alignment wrapText="1"/>
    </xf>
    <xf numFmtId="0" fontId="18" fillId="0" borderId="0" xfId="0" applyFont="1" applyBorder="1" applyAlignment="1">
      <alignment vertical="center" wrapText="1"/>
    </xf>
    <xf numFmtId="0" fontId="5" fillId="0" borderId="0" xfId="0" applyFont="1" applyBorder="1" applyAlignment="1">
      <alignment horizontal="right" vertical="top" wrapText="1"/>
    </xf>
    <xf numFmtId="0" fontId="3" fillId="0" borderId="0" xfId="0" applyFont="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right" vertical="top"/>
    </xf>
    <xf numFmtId="3" fontId="13" fillId="8" borderId="0" xfId="0" applyNumberFormat="1" applyFont="1" applyFill="1" applyBorder="1" applyAlignment="1">
      <alignment horizontal="center"/>
    </xf>
    <xf numFmtId="0" fontId="13" fillId="8" borderId="0" xfId="0" applyFont="1" applyFill="1" applyBorder="1" applyAlignment="1">
      <alignment horizontal="right"/>
    </xf>
    <xf numFmtId="0" fontId="13" fillId="8" borderId="0" xfId="0" applyFont="1" applyFill="1" applyBorder="1" applyAlignment="1">
      <alignment horizontal="center"/>
    </xf>
    <xf numFmtId="0" fontId="7" fillId="0" borderId="0" xfId="0" applyFont="1" applyBorder="1" applyAlignment="1">
      <alignment horizontal="center" readingOrder="1"/>
    </xf>
    <xf numFmtId="0" fontId="6" fillId="7" borderId="0" xfId="0" applyFont="1" applyFill="1" applyBorder="1" applyAlignment="1">
      <alignment/>
    </xf>
    <xf numFmtId="0" fontId="3" fillId="0" borderId="0" xfId="0" applyFont="1" applyFill="1" applyBorder="1" applyAlignment="1" applyProtection="1">
      <alignment horizontal="center"/>
      <protection locked="0"/>
    </xf>
    <xf numFmtId="0" fontId="5" fillId="0" borderId="0" xfId="0" applyFont="1" applyBorder="1" applyAlignment="1">
      <alignment horizontal="center" vertical="center"/>
    </xf>
    <xf numFmtId="0" fontId="14" fillId="0" borderId="0" xfId="0" applyFont="1" applyFill="1" applyBorder="1" applyAlignment="1">
      <alignment/>
    </xf>
    <xf numFmtId="0" fontId="13" fillId="2" borderId="0" xfId="0" applyFont="1" applyFill="1" applyBorder="1" applyAlignment="1">
      <alignment/>
    </xf>
    <xf numFmtId="0" fontId="13" fillId="2" borderId="0" xfId="0" applyFont="1" applyFill="1" applyBorder="1" applyAlignment="1">
      <alignment horizontal="left"/>
    </xf>
    <xf numFmtId="3" fontId="5" fillId="8" borderId="0" xfId="0" applyNumberFormat="1" applyFont="1" applyFill="1" applyBorder="1" applyAlignment="1">
      <alignment vertical="top"/>
    </xf>
    <xf numFmtId="3" fontId="5" fillId="0" borderId="0" xfId="0" applyNumberFormat="1" applyFont="1" applyFill="1" applyBorder="1" applyAlignment="1">
      <alignment vertical="top"/>
    </xf>
    <xf numFmtId="0" fontId="5" fillId="0" borderId="0" xfId="0" applyFont="1" applyBorder="1" applyAlignment="1">
      <alignment vertical="top" wrapText="1"/>
    </xf>
    <xf numFmtId="0" fontId="3" fillId="2" borderId="0" xfId="0" applyFont="1" applyFill="1" applyBorder="1" applyAlignment="1">
      <alignment horizontal="left"/>
    </xf>
    <xf numFmtId="0" fontId="5" fillId="0" borderId="0" xfId="0" applyFont="1" applyBorder="1" applyAlignment="1">
      <alignment horizontal="right" vertical="top" wrapText="1"/>
    </xf>
    <xf numFmtId="0" fontId="5"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Border="1" applyAlignment="1">
      <alignment horizontal="left"/>
    </xf>
    <xf numFmtId="0" fontId="5" fillId="0" borderId="0" xfId="0" applyFont="1" applyFill="1" applyBorder="1" applyAlignment="1">
      <alignment horizontal="right" vertical="center" wrapText="1" indent="7" readingOrder="1"/>
    </xf>
    <xf numFmtId="0" fontId="12" fillId="0" borderId="0" xfId="0" applyFont="1" applyBorder="1" applyAlignment="1">
      <alignment horizontal="right" readingOrder="1"/>
    </xf>
    <xf numFmtId="0" fontId="7" fillId="0" borderId="0" xfId="0" applyFont="1" applyBorder="1" applyAlignment="1">
      <alignment horizontal="center" readingOrder="1"/>
    </xf>
    <xf numFmtId="0" fontId="3" fillId="0" borderId="0" xfId="0" applyFont="1" applyFill="1" applyBorder="1" applyAlignment="1">
      <alignment horizontal="left" vertical="top" wrapText="1" readingOrder="1"/>
    </xf>
    <xf numFmtId="169" fontId="3" fillId="8" borderId="0" xfId="15" applyNumberFormat="1" applyFont="1" applyFill="1" applyBorder="1" applyAlignment="1">
      <alignment horizontal="center" wrapText="1"/>
    </xf>
    <xf numFmtId="0" fontId="6" fillId="7" borderId="0" xfId="0" applyFont="1" applyFill="1" applyBorder="1" applyAlignment="1">
      <alignment horizontal="center"/>
    </xf>
    <xf numFmtId="3" fontId="3" fillId="8" borderId="0" xfId="15" applyNumberFormat="1" applyFont="1" applyFill="1" applyBorder="1" applyAlignment="1">
      <alignment horizontal="center"/>
    </xf>
    <xf numFmtId="0" fontId="3" fillId="0" borderId="0" xfId="0" applyFont="1" applyBorder="1" applyAlignment="1">
      <alignment horizontal="center" vertical="top" wrapText="1" readingOrder="2"/>
    </xf>
    <xf numFmtId="0" fontId="16" fillId="3" borderId="0" xfId="0" applyFont="1" applyFill="1" applyBorder="1" applyAlignment="1">
      <alignment horizontal="center"/>
    </xf>
    <xf numFmtId="0" fontId="18" fillId="0" borderId="0" xfId="0" applyFont="1" applyBorder="1" applyAlignment="1">
      <alignment horizontal="center" vertical="center" wrapText="1"/>
    </xf>
    <xf numFmtId="0" fontId="3" fillId="7" borderId="0" xfId="0" applyFont="1" applyFill="1" applyBorder="1" applyAlignment="1">
      <alignment horizontal="center"/>
    </xf>
    <xf numFmtId="0" fontId="15" fillId="0" borderId="0" xfId="0" applyFont="1" applyBorder="1" applyAlignment="1">
      <alignment horizontal="center" vertical="top" wrapText="1" readingOrder="2"/>
    </xf>
    <xf numFmtId="0" fontId="3" fillId="0" borderId="0" xfId="0" applyFont="1" applyBorder="1" applyAlignment="1">
      <alignment horizontal="right"/>
    </xf>
    <xf numFmtId="0" fontId="5" fillId="3" borderId="0" xfId="0" applyFont="1" applyFill="1" applyBorder="1" applyAlignment="1">
      <alignment horizontal="center"/>
    </xf>
    <xf numFmtId="0" fontId="5" fillId="0" borderId="0" xfId="0" applyFont="1" applyBorder="1" applyAlignment="1">
      <alignment horizontal="left" vertical="center" wrapText="1"/>
    </xf>
    <xf numFmtId="0" fontId="3" fillId="0" borderId="0" xfId="0" applyFont="1" applyBorder="1" applyAlignment="1">
      <alignment horizontal="right" vertical="center"/>
    </xf>
    <xf numFmtId="0" fontId="20" fillId="0" borderId="0" xfId="2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af-yomi.com/Data/UploadedFiles/DY_Item/25467-sFile.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rightToLeft="1" tabSelected="1" workbookViewId="0" topLeftCell="A5">
      <selection activeCell="E10" sqref="E10"/>
    </sheetView>
  </sheetViews>
  <sheetFormatPr defaultColWidth="9.140625" defaultRowHeight="12.75"/>
  <cols>
    <col min="1" max="1" width="19.7109375" style="4" customWidth="1"/>
    <col min="2" max="2" width="5.8515625" style="5" customWidth="1"/>
    <col min="3" max="3" width="12.8515625" style="4" customWidth="1"/>
    <col min="4" max="4" width="11.7109375" style="4" bestFit="1" customWidth="1"/>
    <col min="5" max="5" width="9.7109375" style="4" customWidth="1"/>
    <col min="6" max="6" width="2.8515625" style="4" customWidth="1"/>
    <col min="7" max="7" width="9.7109375" style="4" bestFit="1" customWidth="1"/>
    <col min="8" max="8" width="2.8515625" style="4" customWidth="1"/>
    <col min="9" max="9" width="11.28125" style="4" bestFit="1" customWidth="1"/>
    <col min="10" max="10" width="2.8515625" style="4" customWidth="1"/>
    <col min="11" max="11" width="12.8515625" style="4" bestFit="1" customWidth="1"/>
    <col min="12" max="12" width="4.421875" style="4" customWidth="1"/>
    <col min="13" max="13" width="8.140625" style="5" customWidth="1"/>
    <col min="14" max="14" width="6.7109375" style="5" customWidth="1"/>
    <col min="15" max="15" width="5.8515625" style="4" customWidth="1"/>
    <col min="16" max="16384" width="9.140625" style="4" customWidth="1"/>
  </cols>
  <sheetData>
    <row r="1" spans="1:15" ht="24.75" customHeight="1">
      <c r="A1" s="111" t="s">
        <v>83</v>
      </c>
      <c r="B1" s="111"/>
      <c r="C1" s="111"/>
      <c r="D1" s="111"/>
      <c r="E1" s="111"/>
      <c r="F1" s="111"/>
      <c r="G1" s="111"/>
      <c r="H1" s="111"/>
      <c r="I1" s="111"/>
      <c r="J1" s="111"/>
      <c r="K1" s="111"/>
      <c r="L1" s="111"/>
      <c r="M1" s="111"/>
      <c r="N1" s="75"/>
      <c r="O1" s="73"/>
    </row>
    <row r="2" spans="1:15" ht="24.75" customHeight="1">
      <c r="A2" s="116" t="s">
        <v>84</v>
      </c>
      <c r="B2" s="116"/>
      <c r="C2" s="116"/>
      <c r="D2" s="116"/>
      <c r="E2" s="116"/>
      <c r="F2" s="116"/>
      <c r="G2" s="116"/>
      <c r="H2" s="116"/>
      <c r="I2" s="116"/>
      <c r="J2" s="116"/>
      <c r="K2" s="116"/>
      <c r="L2" s="116"/>
      <c r="M2" s="116"/>
      <c r="N2" s="75"/>
      <c r="O2" s="73"/>
    </row>
    <row r="3" spans="9:14" ht="67.5" customHeight="1">
      <c r="I3" s="114" t="s">
        <v>72</v>
      </c>
      <c r="J3" s="114"/>
      <c r="K3" s="114"/>
      <c r="L3" s="114"/>
      <c r="M3" s="114"/>
      <c r="N3" s="74"/>
    </row>
    <row r="4" spans="1:15" ht="16.5" customHeight="1">
      <c r="A4" s="115" t="s">
        <v>71</v>
      </c>
      <c r="B4" s="115"/>
      <c r="C4" s="115"/>
      <c r="D4" s="115"/>
      <c r="E4" s="115"/>
      <c r="F4" s="115"/>
      <c r="G4" s="115"/>
      <c r="H4" s="115"/>
      <c r="I4" s="115"/>
      <c r="J4" s="115"/>
      <c r="K4" s="115"/>
      <c r="L4" s="115"/>
      <c r="M4" s="115"/>
      <c r="N4" s="115"/>
      <c r="O4" s="3"/>
    </row>
    <row r="5" ht="16.5" customHeight="1"/>
    <row r="6" spans="1:16" ht="16.5" customHeight="1">
      <c r="A6" s="113" t="s">
        <v>66</v>
      </c>
      <c r="B6" s="113"/>
      <c r="C6" s="113"/>
      <c r="D6" s="113"/>
      <c r="E6" s="113"/>
      <c r="F6" s="89"/>
      <c r="G6" s="98" t="s">
        <v>88</v>
      </c>
      <c r="H6" s="98"/>
      <c r="I6" s="98"/>
      <c r="J6" s="98"/>
      <c r="K6" s="98"/>
      <c r="L6" s="98"/>
      <c r="M6" s="98"/>
      <c r="N6" s="44"/>
      <c r="O6" s="44"/>
      <c r="P6" s="37"/>
    </row>
    <row r="7" spans="1:13" ht="16.5" customHeight="1">
      <c r="A7" s="39"/>
      <c r="B7" s="38"/>
      <c r="C7" s="39"/>
      <c r="D7" s="40" t="s">
        <v>65</v>
      </c>
      <c r="E7" s="90"/>
      <c r="F7" s="39"/>
      <c r="G7" s="6"/>
      <c r="H7" s="6"/>
      <c r="I7" s="8" t="s">
        <v>43</v>
      </c>
      <c r="J7" s="7">
        <v>1</v>
      </c>
      <c r="K7" s="8" t="str">
        <f>IF(D$22=2,"אדר ב'",IF(D$22=5,"אדר ב'",IF(D$22=7,"אדר ב'",IF(D$22=10,"אדר ב'",IF(D$22=13,"אדר ב'",IF(D$22=16,"אדר ב'",IF(D$22=18,"אדר ב'","ניסן")))))))</f>
        <v>אדר ב'</v>
      </c>
      <c r="L7" s="7">
        <v>7</v>
      </c>
      <c r="M7" s="7"/>
    </row>
    <row r="8" spans="1:13" ht="16.5" customHeight="1">
      <c r="A8" s="41"/>
      <c r="B8" s="41"/>
      <c r="C8" s="42">
        <f>IF(E7="","",CONCATENATE("שנת ",עזר!K20," היא שנה: "))</f>
      </c>
      <c r="D8" s="108">
        <f>IF(E7="","",IF(D22=2,"מעוברת",IF(D22=5,"מעוברת",IF(D22=7,"מעוברת",IF(D22=10,"מעוברת",IF(D22=13,"מעוברת",IF(D22=16,"מעוברת",IF(D22=18,"מעוברת","פשוטה"))))))))</f>
      </c>
      <c r="E8" s="108"/>
      <c r="F8" s="39"/>
      <c r="G8" s="6"/>
      <c r="H8" s="6"/>
      <c r="I8" s="8" t="s">
        <v>45</v>
      </c>
      <c r="J8" s="7">
        <v>2</v>
      </c>
      <c r="K8" s="8" t="str">
        <f>IF(D$22=2,"ניסן",IF(D$22=5,"ניסן",IF(D$22=7,"ניסן",IF(D$22=10,"ניסן",IF(D$22=13,"ניסן",IF(D$22=16,"ניסן",IF(D$22=18,"ניסן","אייר")))))))</f>
        <v>ניסן</v>
      </c>
      <c r="L8" s="7">
        <v>8</v>
      </c>
      <c r="M8" s="7"/>
    </row>
    <row r="9" spans="1:13" ht="16.5" customHeight="1">
      <c r="A9" s="6"/>
      <c r="B9" s="7"/>
      <c r="C9" s="6"/>
      <c r="D9" s="8" t="s">
        <v>77</v>
      </c>
      <c r="E9" s="90"/>
      <c r="F9" s="6"/>
      <c r="G9" s="6"/>
      <c r="H9" s="6"/>
      <c r="I9" s="8" t="s">
        <v>44</v>
      </c>
      <c r="J9" s="7">
        <v>3</v>
      </c>
      <c r="K9" s="8" t="str">
        <f>IF(D$22=2,"אייר",IF(D$22=5,"אייר",IF(D$22=7,"אייר",IF(D$22=10,"אייר",IF(D$22=13,"אייר",IF(D$22=16,"אייר",IF(D$22=18,"אייר","סיון")))))))</f>
        <v>אייר</v>
      </c>
      <c r="L9" s="7">
        <v>9</v>
      </c>
      <c r="M9" s="7"/>
    </row>
    <row r="10" spans="1:13" ht="16.5" customHeight="1">
      <c r="A10" s="6"/>
      <c r="B10" s="7"/>
      <c r="C10" s="6"/>
      <c r="D10" s="6"/>
      <c r="E10" s="6"/>
      <c r="F10" s="6"/>
      <c r="G10" s="6"/>
      <c r="H10" s="6"/>
      <c r="I10" s="8" t="s">
        <v>46</v>
      </c>
      <c r="J10" s="7">
        <v>4</v>
      </c>
      <c r="K10" s="8" t="str">
        <f>IF(D$22=2,"סיון",IF(D$22=5,"סיון",IF(D$22=7,"סיון",IF(D$22=10,"סיון",IF(D$22=13,"סיון",IF(D$22=16,"סיון",IF(D$22=18,"סיון","תמוז")))))))</f>
        <v>סיון</v>
      </c>
      <c r="L10" s="7">
        <v>10</v>
      </c>
      <c r="M10" s="7"/>
    </row>
    <row r="11" spans="1:13" ht="16.5" customHeight="1">
      <c r="A11" s="6"/>
      <c r="B11" s="93"/>
      <c r="C11" s="94" t="s">
        <v>74</v>
      </c>
      <c r="D11" s="6"/>
      <c r="E11" s="94" t="s">
        <v>73</v>
      </c>
      <c r="F11" s="93"/>
      <c r="G11" s="6"/>
      <c r="H11" s="6"/>
      <c r="I11" s="8" t="s">
        <v>47</v>
      </c>
      <c r="J11" s="7">
        <v>5</v>
      </c>
      <c r="K11" s="8" t="str">
        <f>IF(D$22=2,"תמוז",IF(D$22=5,"תמוז",IF(D$22=7,"תמוז",IF(D$22=10,"תמוז",IF(D$22=13,"תמוז",IF(D$22=16,"תמוז",IF(D$22=18,"תמוז","אב")))))))</f>
        <v>תמוז</v>
      </c>
      <c r="L11" s="7">
        <v>11</v>
      </c>
      <c r="M11" s="7"/>
    </row>
    <row r="12" spans="1:13" ht="16.5" customHeight="1">
      <c r="A12" s="25"/>
      <c r="B12" s="85">
        <f>C51</f>
        <v>1</v>
      </c>
      <c r="C12" s="86" t="str">
        <f>A51</f>
        <v>ימים</v>
      </c>
      <c r="D12" s="71" t="str">
        <f>C60</f>
        <v>יום</v>
      </c>
      <c r="E12" s="71" t="str">
        <f>C61</f>
        <v>ראשון</v>
      </c>
      <c r="F12" s="72"/>
      <c r="G12" s="6"/>
      <c r="H12" s="6"/>
      <c r="I12" s="8" t="str">
        <f>IF(D$22=2,"אדר א'",IF(D$22=5,"אדר א'",IF(D$22=7,"אדר א'",IF(D$22=10,"אדר א'",IF(D$22=13,"אדר א'",IF(D$22=16,"אדר א'",IF(D$22=18,"אדר א'","אדר")))))))</f>
        <v>אדר א'</v>
      </c>
      <c r="J12" s="7">
        <v>6</v>
      </c>
      <c r="K12" s="8" t="str">
        <f>IF(D$22=2,"אב",IF(D$22=5,"אב",IF(D$22=7,"אב",IF(D$22=10,"אב",IF(D$22=13,"אב",IF(D$22=16,"אב",IF(D$22=18,"אב","אלול")))))))</f>
        <v>אב</v>
      </c>
      <c r="L12" s="7">
        <v>12</v>
      </c>
      <c r="M12" s="7"/>
    </row>
    <row r="13" spans="1:13" ht="16.5" customHeight="1">
      <c r="A13" s="25"/>
      <c r="B13" s="87">
        <f>C50</f>
        <v>18</v>
      </c>
      <c r="C13" s="86" t="str">
        <f>A50</f>
        <v>שעות</v>
      </c>
      <c r="D13" s="71" t="s">
        <v>51</v>
      </c>
      <c r="E13" s="71">
        <f>D61</f>
        <v>12</v>
      </c>
      <c r="F13" s="72"/>
      <c r="G13" s="6"/>
      <c r="H13" s="6"/>
      <c r="I13" s="6"/>
      <c r="J13" s="6"/>
      <c r="K13" s="8" t="str">
        <f>IF(D$22=2,"אלול",IF(D$22=5,"אלול",IF(D$22=7,"אלול",IF(D$22=10,"אלול",IF(D$22=13,"אלול",IF(D$22=16,"אלול",IF(D$22=18,"אלול","")))))))</f>
        <v>אלול</v>
      </c>
      <c r="L13" s="7" t="str">
        <f>IF(D$22=2,"13",IF(D$22=5,"13",IF(D$22=7,"13",IF(D$22=10,"13",IF(D$22=13,"13",IF(D$22=16,"13",IF(D$22=18,"13","")))))))</f>
        <v>13</v>
      </c>
      <c r="M13" s="7"/>
    </row>
    <row r="14" spans="1:15" ht="16.5" customHeight="1">
      <c r="A14" s="25"/>
      <c r="B14" s="87">
        <f>C49</f>
        <v>982</v>
      </c>
      <c r="C14" s="86" t="str">
        <f>A49</f>
        <v>חלקים</v>
      </c>
      <c r="D14" s="71">
        <f>E60</f>
        <v>54</v>
      </c>
      <c r="E14" s="71" t="s">
        <v>64</v>
      </c>
      <c r="F14" s="72"/>
      <c r="G14" s="6"/>
      <c r="H14" s="6"/>
      <c r="I14" s="6"/>
      <c r="J14" s="6"/>
      <c r="K14" s="6"/>
      <c r="L14" s="6"/>
      <c r="M14" s="7"/>
      <c r="N14" s="10"/>
      <c r="O14" s="10"/>
    </row>
    <row r="15" spans="1:15" ht="16.5" customHeight="1">
      <c r="A15" s="92"/>
      <c r="B15" s="87"/>
      <c r="C15" s="86"/>
      <c r="D15" s="71" t="str">
        <f>CONCATENATE("ו-",G60)</f>
        <v>ו-10</v>
      </c>
      <c r="E15" s="71" t="s">
        <v>33</v>
      </c>
      <c r="F15" s="72"/>
      <c r="G15" s="6"/>
      <c r="H15" s="6"/>
      <c r="I15" s="6"/>
      <c r="J15" s="6"/>
      <c r="K15" s="6"/>
      <c r="L15" s="6"/>
      <c r="M15" s="7"/>
      <c r="N15" s="10"/>
      <c r="O15" s="10"/>
    </row>
    <row r="16" spans="1:15" ht="49.5" customHeight="1">
      <c r="A16" s="101" t="s">
        <v>50</v>
      </c>
      <c r="B16" s="101"/>
      <c r="C16" s="101"/>
      <c r="D16" s="101"/>
      <c r="E16" s="101"/>
      <c r="F16" s="101"/>
      <c r="G16" s="101"/>
      <c r="H16" s="101"/>
      <c r="I16" s="101"/>
      <c r="J16" s="101"/>
      <c r="K16" s="101"/>
      <c r="L16" s="101"/>
      <c r="M16" s="101"/>
      <c r="N16" s="101"/>
      <c r="O16" s="101"/>
    </row>
    <row r="17" spans="1:15" ht="18">
      <c r="A17" s="118" t="s">
        <v>85</v>
      </c>
      <c r="B17" s="118"/>
      <c r="C17" s="118"/>
      <c r="D17" s="118"/>
      <c r="E17" s="118"/>
      <c r="F17" s="118"/>
      <c r="G17" s="118"/>
      <c r="H17" s="118"/>
      <c r="I17" s="118"/>
      <c r="J17" s="118"/>
      <c r="K17" s="118"/>
      <c r="L17" s="118"/>
      <c r="M17" s="118"/>
      <c r="N17" s="118"/>
      <c r="O17" s="81"/>
    </row>
    <row r="18" spans="1:15" s="83" customFormat="1" ht="18">
      <c r="A18" s="117" t="s">
        <v>89</v>
      </c>
      <c r="B18" s="117"/>
      <c r="C18" s="117"/>
      <c r="D18" s="117"/>
      <c r="E18" s="117"/>
      <c r="F18" s="117"/>
      <c r="G18" s="117"/>
      <c r="H18" s="117"/>
      <c r="I18" s="117"/>
      <c r="J18" s="119" t="s">
        <v>87</v>
      </c>
      <c r="K18" s="119"/>
      <c r="L18" s="119"/>
      <c r="M18" s="119"/>
      <c r="N18" s="119"/>
      <c r="O18" s="91"/>
    </row>
    <row r="19" spans="1:15" s="84" customFormat="1" ht="49.5" customHeight="1">
      <c r="A19" s="99" t="s">
        <v>86</v>
      </c>
      <c r="B19" s="99"/>
      <c r="C19" s="99"/>
      <c r="D19" s="99"/>
      <c r="E19" s="99"/>
      <c r="F19" s="99"/>
      <c r="G19" s="99"/>
      <c r="H19" s="99"/>
      <c r="I19" s="99"/>
      <c r="J19" s="99"/>
      <c r="K19" s="99"/>
      <c r="L19" s="99"/>
      <c r="M19" s="99"/>
      <c r="N19" s="99"/>
      <c r="O19" s="80"/>
    </row>
    <row r="20" spans="1:14" ht="16.5" customHeight="1">
      <c r="A20" s="10" t="str">
        <f>CONCATENATE("עד תחילת שנת ",עזר!F15," עברו:  ",E7-1," שנים שלמות. נחשב תחילה את מספר המחזורים השלמים:")</f>
        <v>עד תחילת שנת  עברו:  -1 שנים שלמות. נחשב תחילה את מספר המחזורים השלמים:</v>
      </c>
      <c r="B20" s="11"/>
      <c r="D20" s="5"/>
      <c r="K20" s="77" t="s">
        <v>76</v>
      </c>
      <c r="N20" s="3" t="s">
        <v>27</v>
      </c>
    </row>
    <row r="21" spans="4:9" ht="16.5" customHeight="1">
      <c r="D21" s="5" t="s">
        <v>2</v>
      </c>
      <c r="E21" s="5" t="s">
        <v>3</v>
      </c>
      <c r="F21" s="5"/>
      <c r="G21" s="5"/>
      <c r="H21" s="5"/>
      <c r="I21" s="5"/>
    </row>
    <row r="22" spans="4:14" ht="16.5" customHeight="1">
      <c r="D22" s="5">
        <f>MOD(I22,G22)</f>
        <v>18</v>
      </c>
      <c r="E22" s="26">
        <f>INT(I22/G22)</f>
        <v>-1</v>
      </c>
      <c r="F22" s="3" t="s">
        <v>1</v>
      </c>
      <c r="G22" s="5">
        <v>19</v>
      </c>
      <c r="H22" s="3" t="s">
        <v>0</v>
      </c>
      <c r="I22" s="5">
        <f>E7-1</f>
        <v>-1</v>
      </c>
      <c r="N22" s="5">
        <v>2</v>
      </c>
    </row>
    <row r="23" spans="1:9" ht="16.5" customHeight="1">
      <c r="A23" s="102" t="s">
        <v>48</v>
      </c>
      <c r="B23" s="102"/>
      <c r="C23" s="102"/>
      <c r="D23" s="5"/>
      <c r="E23" s="27">
        <f>D22-E24</f>
        <v>12</v>
      </c>
      <c r="F23" s="5"/>
      <c r="G23" s="5"/>
      <c r="H23" s="5"/>
      <c r="I23" s="5"/>
    </row>
    <row r="24" spans="1:9" ht="16.5" customHeight="1">
      <c r="A24" s="102" t="s">
        <v>49</v>
      </c>
      <c r="B24" s="102"/>
      <c r="C24" s="102"/>
      <c r="D24" s="5"/>
      <c r="E24" s="28">
        <f>IF(D22&lt;3,0,IF(D22&lt;6,1,IF(D22&lt;8,2,IF(D22&lt;11,3,IF(D22&lt;14,4,IF(D22&lt;17,5,6))))))</f>
        <v>6</v>
      </c>
      <c r="F24" s="5"/>
      <c r="G24" s="5"/>
      <c r="H24" s="5"/>
      <c r="I24" s="5"/>
    </row>
    <row r="25" spans="1:11" ht="16.5" customHeight="1">
      <c r="A25" s="11" t="s">
        <v>9</v>
      </c>
      <c r="B25" s="26">
        <f>E22</f>
        <v>-1</v>
      </c>
      <c r="C25" s="10" t="s">
        <v>8</v>
      </c>
      <c r="K25" s="77" t="s">
        <v>75</v>
      </c>
    </row>
    <row r="26" spans="1:14" ht="16.5" customHeight="1">
      <c r="A26" s="12" t="s">
        <v>5</v>
      </c>
      <c r="C26" s="67">
        <f>G26*E26</f>
        <v>-2</v>
      </c>
      <c r="D26" s="13" t="s">
        <v>1</v>
      </c>
      <c r="E26" s="14">
        <v>2</v>
      </c>
      <c r="F26" s="13" t="s">
        <v>4</v>
      </c>
      <c r="G26" s="29">
        <f>E22</f>
        <v>-1</v>
      </c>
      <c r="N26" s="21" t="s">
        <v>14</v>
      </c>
    </row>
    <row r="27" spans="1:14" ht="16.5" customHeight="1">
      <c r="A27" s="12" t="s">
        <v>6</v>
      </c>
      <c r="C27" s="67">
        <f>G27*E27</f>
        <v>-16</v>
      </c>
      <c r="D27" s="13" t="s">
        <v>1</v>
      </c>
      <c r="E27" s="14">
        <v>16</v>
      </c>
      <c r="F27" s="13" t="s">
        <v>4</v>
      </c>
      <c r="G27" s="30">
        <f>E22</f>
        <v>-1</v>
      </c>
      <c r="N27" s="21" t="s">
        <v>15</v>
      </c>
    </row>
    <row r="28" spans="1:14" ht="16.5" customHeight="1">
      <c r="A28" s="12" t="s">
        <v>7</v>
      </c>
      <c r="C28" s="67">
        <f>G28*E28</f>
        <v>-595</v>
      </c>
      <c r="D28" s="13" t="s">
        <v>1</v>
      </c>
      <c r="E28" s="14">
        <v>595</v>
      </c>
      <c r="F28" s="13" t="s">
        <v>4</v>
      </c>
      <c r="G28" s="30">
        <f>E22</f>
        <v>-1</v>
      </c>
      <c r="N28" s="21" t="s">
        <v>16</v>
      </c>
    </row>
    <row r="29" spans="1:11" ht="16.5" customHeight="1">
      <c r="A29" s="11" t="s">
        <v>11</v>
      </c>
      <c r="B29" s="27">
        <f>E23</f>
        <v>12</v>
      </c>
      <c r="C29" s="4" t="s">
        <v>10</v>
      </c>
      <c r="K29" s="77" t="str">
        <f>K25</f>
        <v>הלכה ה' והלכה י"ב</v>
      </c>
    </row>
    <row r="30" spans="1:14" ht="16.5" customHeight="1">
      <c r="A30" s="12" t="s">
        <v>5</v>
      </c>
      <c r="C30" s="68">
        <f>G30*E30</f>
        <v>48</v>
      </c>
      <c r="D30" s="13" t="s">
        <v>1</v>
      </c>
      <c r="E30" s="14">
        <v>4</v>
      </c>
      <c r="F30" s="13" t="s">
        <v>4</v>
      </c>
      <c r="G30" s="31">
        <f>B29</f>
        <v>12</v>
      </c>
      <c r="N30" s="7" t="s">
        <v>17</v>
      </c>
    </row>
    <row r="31" spans="1:14" ht="16.5" customHeight="1">
      <c r="A31" s="12" t="s">
        <v>6</v>
      </c>
      <c r="C31" s="68">
        <f>G31*E31</f>
        <v>96</v>
      </c>
      <c r="D31" s="13" t="s">
        <v>1</v>
      </c>
      <c r="E31" s="14">
        <v>8</v>
      </c>
      <c r="F31" s="13" t="s">
        <v>4</v>
      </c>
      <c r="G31" s="32">
        <f>B29</f>
        <v>12</v>
      </c>
      <c r="N31" s="7" t="s">
        <v>18</v>
      </c>
    </row>
    <row r="32" spans="1:14" ht="16.5" customHeight="1">
      <c r="A32" s="12" t="s">
        <v>7</v>
      </c>
      <c r="C32" s="68">
        <f>G32*E32</f>
        <v>10512</v>
      </c>
      <c r="D32" s="13" t="s">
        <v>1</v>
      </c>
      <c r="E32" s="14">
        <v>876</v>
      </c>
      <c r="F32" s="13" t="s">
        <v>4</v>
      </c>
      <c r="G32" s="32">
        <f>B29</f>
        <v>12</v>
      </c>
      <c r="N32" s="7" t="s">
        <v>19</v>
      </c>
    </row>
    <row r="33" spans="1:11" ht="16.5" customHeight="1">
      <c r="A33" s="11" t="s">
        <v>11</v>
      </c>
      <c r="B33" s="28">
        <f>E24</f>
        <v>6</v>
      </c>
      <c r="C33" s="4" t="s">
        <v>12</v>
      </c>
      <c r="K33" s="77" t="str">
        <f>K25</f>
        <v>הלכה ה' והלכה י"ב</v>
      </c>
    </row>
    <row r="34" spans="1:14" ht="16.5" customHeight="1">
      <c r="A34" s="12" t="s">
        <v>5</v>
      </c>
      <c r="C34" s="69">
        <f>G34*E34</f>
        <v>30</v>
      </c>
      <c r="D34" s="13" t="s">
        <v>1</v>
      </c>
      <c r="E34" s="14">
        <v>5</v>
      </c>
      <c r="F34" s="13" t="s">
        <v>4</v>
      </c>
      <c r="G34" s="33">
        <f>B33</f>
        <v>6</v>
      </c>
      <c r="N34" s="20" t="s">
        <v>20</v>
      </c>
    </row>
    <row r="35" spans="1:14" ht="16.5" customHeight="1">
      <c r="A35" s="12" t="s">
        <v>6</v>
      </c>
      <c r="C35" s="69">
        <f>G35*E35</f>
        <v>126</v>
      </c>
      <c r="D35" s="13" t="s">
        <v>1</v>
      </c>
      <c r="E35" s="14">
        <v>21</v>
      </c>
      <c r="F35" s="13" t="s">
        <v>4</v>
      </c>
      <c r="G35" s="34">
        <f>B33</f>
        <v>6</v>
      </c>
      <c r="N35" s="20" t="s">
        <v>21</v>
      </c>
    </row>
    <row r="36" spans="1:14" ht="16.5" customHeight="1">
      <c r="A36" s="12" t="s">
        <v>7</v>
      </c>
      <c r="C36" s="69">
        <f>G36*E36</f>
        <v>3534</v>
      </c>
      <c r="D36" s="13" t="s">
        <v>1</v>
      </c>
      <c r="E36" s="14">
        <v>589</v>
      </c>
      <c r="F36" s="13" t="s">
        <v>4</v>
      </c>
      <c r="G36" s="34">
        <f>B33</f>
        <v>6</v>
      </c>
      <c r="N36" s="20" t="s">
        <v>22</v>
      </c>
    </row>
    <row r="37" spans="1:8" s="82" customFormat="1" ht="16.5" customHeight="1">
      <c r="A37" s="103" t="str">
        <f>CONCATENATE("עד החודש המבוקש עברו ",E9-1," חודשים. לכן")</f>
        <v>עד החודש המבוקש עברו -1 חודשים. לכן</v>
      </c>
      <c r="B37" s="103"/>
      <c r="C37" s="103"/>
      <c r="D37" s="103"/>
      <c r="E37" s="103"/>
      <c r="F37" s="103"/>
      <c r="G37" s="103"/>
      <c r="H37" s="103"/>
    </row>
    <row r="38" spans="1:11" ht="16.5" customHeight="1">
      <c r="A38" s="11" t="s">
        <v>11</v>
      </c>
      <c r="B38" s="5">
        <f>E9-1</f>
        <v>-1</v>
      </c>
      <c r="C38" s="4" t="s">
        <v>13</v>
      </c>
      <c r="K38" s="77" t="str">
        <f>K33</f>
        <v>הלכה ה' והלכה י"ב</v>
      </c>
    </row>
    <row r="39" spans="1:14" ht="16.5" customHeight="1">
      <c r="A39" s="12" t="s">
        <v>5</v>
      </c>
      <c r="C39" s="70">
        <f>G39*E39</f>
        <v>-1</v>
      </c>
      <c r="D39" s="13" t="s">
        <v>1</v>
      </c>
      <c r="E39" s="14">
        <v>1</v>
      </c>
      <c r="F39" s="13" t="s">
        <v>4</v>
      </c>
      <c r="G39" s="13">
        <f>B38</f>
        <v>-1</v>
      </c>
      <c r="N39" s="19" t="s">
        <v>23</v>
      </c>
    </row>
    <row r="40" spans="1:14" ht="16.5" customHeight="1">
      <c r="A40" s="12" t="s">
        <v>6</v>
      </c>
      <c r="C40" s="70">
        <f>G40*E40</f>
        <v>-12</v>
      </c>
      <c r="D40" s="13" t="s">
        <v>1</v>
      </c>
      <c r="E40" s="14">
        <v>12</v>
      </c>
      <c r="F40" s="13" t="s">
        <v>4</v>
      </c>
      <c r="G40" s="35">
        <f>B38</f>
        <v>-1</v>
      </c>
      <c r="N40" s="19" t="s">
        <v>24</v>
      </c>
    </row>
    <row r="41" spans="1:14" ht="16.5" customHeight="1">
      <c r="A41" s="12" t="s">
        <v>7</v>
      </c>
      <c r="C41" s="70">
        <f>G41*E41</f>
        <v>-793</v>
      </c>
      <c r="D41" s="13" t="s">
        <v>1</v>
      </c>
      <c r="E41" s="14">
        <v>793</v>
      </c>
      <c r="F41" s="13" t="s">
        <v>4</v>
      </c>
      <c r="G41" s="35">
        <f>B38</f>
        <v>-1</v>
      </c>
      <c r="N41" s="19" t="s">
        <v>25</v>
      </c>
    </row>
    <row r="42" spans="1:14" ht="34.5" customHeight="1">
      <c r="A42" s="100" t="s">
        <v>26</v>
      </c>
      <c r="B42" s="100"/>
      <c r="C42" s="100"/>
      <c r="D42" s="100"/>
      <c r="E42" s="100"/>
      <c r="F42" s="100"/>
      <c r="G42" s="100"/>
      <c r="H42" s="100"/>
      <c r="I42" s="100"/>
      <c r="J42" s="100"/>
      <c r="K42" s="79" t="s">
        <v>79</v>
      </c>
      <c r="L42" s="78"/>
      <c r="M42" s="78"/>
      <c r="N42" s="78"/>
    </row>
    <row r="43" spans="1:15" ht="16.5" customHeight="1">
      <c r="A43" s="16"/>
      <c r="C43" s="57" t="s">
        <v>29</v>
      </c>
      <c r="D43" s="58"/>
      <c r="E43" s="59">
        <v>6</v>
      </c>
      <c r="F43" s="58"/>
      <c r="G43" s="60">
        <v>5</v>
      </c>
      <c r="H43" s="58"/>
      <c r="I43" s="61">
        <v>4</v>
      </c>
      <c r="J43" s="58"/>
      <c r="K43" s="62">
        <v>3</v>
      </c>
      <c r="M43" s="17" t="s">
        <v>28</v>
      </c>
      <c r="N43" s="110" t="s">
        <v>27</v>
      </c>
      <c r="O43" s="110"/>
    </row>
    <row r="44" spans="1:14" ht="16.5" customHeight="1">
      <c r="A44" s="12" t="s">
        <v>31</v>
      </c>
      <c r="C44" s="56">
        <f>M44+K44+I44+G44+E44</f>
        <v>77</v>
      </c>
      <c r="D44" s="35" t="s">
        <v>1</v>
      </c>
      <c r="E44" s="63">
        <f>C39</f>
        <v>-1</v>
      </c>
      <c r="F44" s="15" t="s">
        <v>30</v>
      </c>
      <c r="G44" s="64">
        <f>C34</f>
        <v>30</v>
      </c>
      <c r="H44" s="15" t="s">
        <v>30</v>
      </c>
      <c r="I44" s="65">
        <f>C30</f>
        <v>48</v>
      </c>
      <c r="J44" s="15" t="s">
        <v>30</v>
      </c>
      <c r="K44" s="66">
        <f>C26</f>
        <v>-2</v>
      </c>
      <c r="L44" s="15" t="s">
        <v>30</v>
      </c>
      <c r="M44" s="14">
        <v>2</v>
      </c>
      <c r="N44" s="14" t="s">
        <v>34</v>
      </c>
    </row>
    <row r="45" spans="1:14" ht="16.5" customHeight="1">
      <c r="A45" s="12" t="s">
        <v>32</v>
      </c>
      <c r="C45" s="56">
        <f>M45+K45+I45+G45+E45</f>
        <v>199</v>
      </c>
      <c r="D45" s="35" t="s">
        <v>1</v>
      </c>
      <c r="E45" s="63">
        <f>C40</f>
        <v>-12</v>
      </c>
      <c r="F45" s="15" t="s">
        <v>30</v>
      </c>
      <c r="G45" s="64">
        <f>C35</f>
        <v>126</v>
      </c>
      <c r="H45" s="15" t="s">
        <v>30</v>
      </c>
      <c r="I45" s="65">
        <f>C31</f>
        <v>96</v>
      </c>
      <c r="J45" s="15" t="s">
        <v>30</v>
      </c>
      <c r="K45" s="66">
        <f>C27</f>
        <v>-16</v>
      </c>
      <c r="L45" s="15" t="s">
        <v>30</v>
      </c>
      <c r="M45" s="14">
        <v>5</v>
      </c>
      <c r="N45" s="14" t="s">
        <v>35</v>
      </c>
    </row>
    <row r="46" spans="1:14" ht="16.5" customHeight="1">
      <c r="A46" s="12" t="s">
        <v>33</v>
      </c>
      <c r="C46" s="56">
        <f>M46+K46+I46+G46+E46</f>
        <v>12862</v>
      </c>
      <c r="D46" s="35" t="s">
        <v>1</v>
      </c>
      <c r="E46" s="63">
        <f>C41</f>
        <v>-793</v>
      </c>
      <c r="F46" s="15" t="s">
        <v>30</v>
      </c>
      <c r="G46" s="64">
        <f>C36</f>
        <v>3534</v>
      </c>
      <c r="H46" s="15" t="s">
        <v>30</v>
      </c>
      <c r="I46" s="65">
        <f>C32</f>
        <v>10512</v>
      </c>
      <c r="J46" s="15" t="s">
        <v>30</v>
      </c>
      <c r="K46" s="66">
        <f>C28</f>
        <v>-595</v>
      </c>
      <c r="L46" s="15" t="s">
        <v>30</v>
      </c>
      <c r="M46" s="14">
        <v>204</v>
      </c>
      <c r="N46" s="14" t="s">
        <v>36</v>
      </c>
    </row>
    <row r="47" spans="1:15" ht="54.75" customHeight="1">
      <c r="A47" s="99" t="s">
        <v>81</v>
      </c>
      <c r="B47" s="99"/>
      <c r="C47" s="99"/>
      <c r="D47" s="99"/>
      <c r="E47" s="99"/>
      <c r="F47" s="99"/>
      <c r="G47" s="99"/>
      <c r="H47" s="99"/>
      <c r="I47" s="99"/>
      <c r="J47" s="99"/>
      <c r="K47" s="112" t="s">
        <v>80</v>
      </c>
      <c r="L47" s="112"/>
      <c r="O47" s="78"/>
    </row>
    <row r="48" spans="1:15" ht="30.75" customHeight="1">
      <c r="A48" s="45"/>
      <c r="B48" s="45"/>
      <c r="C48" s="107" t="s">
        <v>67</v>
      </c>
      <c r="D48" s="107"/>
      <c r="E48" s="18"/>
      <c r="F48" s="100" t="s">
        <v>40</v>
      </c>
      <c r="G48" s="100"/>
      <c r="H48" s="100"/>
      <c r="I48" s="18"/>
      <c r="J48" s="18"/>
      <c r="K48" s="55" t="s">
        <v>39</v>
      </c>
      <c r="L48" s="18"/>
      <c r="M48" s="100" t="s">
        <v>38</v>
      </c>
      <c r="N48" s="100"/>
      <c r="O48" s="18"/>
    </row>
    <row r="49" spans="1:14" ht="16.5" customHeight="1">
      <c r="A49" s="106" t="s">
        <v>33</v>
      </c>
      <c r="B49" s="106"/>
      <c r="C49" s="109">
        <f>MOD((M49+K49),I49)</f>
        <v>982</v>
      </c>
      <c r="D49" s="109"/>
      <c r="F49" s="11" t="s">
        <v>32</v>
      </c>
      <c r="G49" s="22">
        <f>INT(K49/I49)</f>
        <v>11</v>
      </c>
      <c r="H49" s="3" t="s">
        <v>1</v>
      </c>
      <c r="I49" s="5">
        <v>1080</v>
      </c>
      <c r="J49" s="3" t="s">
        <v>0</v>
      </c>
      <c r="K49" s="56">
        <f>C46</f>
        <v>12862</v>
      </c>
      <c r="L49" s="15"/>
      <c r="N49" s="5" t="s">
        <v>37</v>
      </c>
    </row>
    <row r="50" spans="1:14" ht="16.5" customHeight="1">
      <c r="A50" s="106" t="s">
        <v>32</v>
      </c>
      <c r="B50" s="106"/>
      <c r="C50" s="109">
        <f>MOD((M50+K50),I50)</f>
        <v>18</v>
      </c>
      <c r="D50" s="109"/>
      <c r="F50" s="11" t="s">
        <v>31</v>
      </c>
      <c r="G50" s="23">
        <f>INT((M50+K50)/I50)</f>
        <v>8</v>
      </c>
      <c r="H50" s="3" t="s">
        <v>1</v>
      </c>
      <c r="I50" s="5">
        <v>24</v>
      </c>
      <c r="J50" s="3" t="s">
        <v>42</v>
      </c>
      <c r="K50" s="56">
        <f>C45</f>
        <v>199</v>
      </c>
      <c r="L50" s="15" t="s">
        <v>30</v>
      </c>
      <c r="M50" s="22">
        <f>G49</f>
        <v>11</v>
      </c>
      <c r="N50" s="10" t="s">
        <v>62</v>
      </c>
    </row>
    <row r="51" spans="1:14" ht="16.5" customHeight="1">
      <c r="A51" s="106" t="s">
        <v>31</v>
      </c>
      <c r="B51" s="106"/>
      <c r="C51" s="109">
        <f>MOD((M51+K51),I51)</f>
        <v>1</v>
      </c>
      <c r="D51" s="109"/>
      <c r="F51" s="11" t="s">
        <v>41</v>
      </c>
      <c r="G51" s="5">
        <f>INT((M51+K51)/I51)</f>
        <v>12</v>
      </c>
      <c r="H51" s="3" t="s">
        <v>1</v>
      </c>
      <c r="I51" s="5">
        <v>7</v>
      </c>
      <c r="J51" s="3" t="s">
        <v>42</v>
      </c>
      <c r="K51" s="56">
        <f>C44</f>
        <v>77</v>
      </c>
      <c r="L51" s="15" t="s">
        <v>30</v>
      </c>
      <c r="M51" s="23">
        <f>G50</f>
        <v>8</v>
      </c>
      <c r="N51" s="10" t="s">
        <v>63</v>
      </c>
    </row>
    <row r="52" spans="1:14" s="25" customFormat="1" ht="16.5" customHeight="1">
      <c r="A52" s="45"/>
      <c r="B52" s="45"/>
      <c r="C52" s="46"/>
      <c r="D52" s="46"/>
      <c r="F52" s="47"/>
      <c r="G52" s="43"/>
      <c r="H52" s="36"/>
      <c r="I52" s="43"/>
      <c r="J52" s="36"/>
      <c r="K52" s="48"/>
      <c r="L52" s="49"/>
      <c r="M52" s="50"/>
      <c r="N52" s="51"/>
    </row>
    <row r="53" spans="1:16" ht="16.5" customHeight="1">
      <c r="A53" s="95" t="str">
        <f>CONCATENATE("מה שמעניין אותנו לקביעת המולד הן השאריות שבמשוואה 8 , (דהיינו ",C51," ימים בשבוע, ",C50," שעות ביממה ו-",C49," חלקים בשעה).")</f>
        <v>מה שמעניין אותנו לקביעת המולד הן השאריות שבמשוואה 8 , (דהיינו 1 ימים בשבוע, 18 שעות ביממה ו-982 חלקים בשעה).</v>
      </c>
      <c r="B53" s="95"/>
      <c r="C53" s="95"/>
      <c r="D53" s="95"/>
      <c r="E53" s="95"/>
      <c r="F53" s="95"/>
      <c r="G53" s="95"/>
      <c r="H53" s="95"/>
      <c r="I53" s="95"/>
      <c r="J53" s="95"/>
      <c r="K53" s="95"/>
      <c r="L53" s="95"/>
      <c r="M53" s="95"/>
      <c r="N53" s="95"/>
      <c r="O53" s="95"/>
      <c r="P53" s="96"/>
    </row>
    <row r="54" spans="1:15" ht="18">
      <c r="A54" s="105" t="str">
        <f>CONCATENATE(" משאריות אלה מתקבל, שהמולד של החודש המבוקש  ","הוא יום ",C51,", שעה ",C50," ו-",C49," חלקים ")</f>
        <v> משאריות אלה מתקבל, שהמולד של החודש המבוקש  הוא יום 1, שעה 18 ו-982 חלקים </v>
      </c>
      <c r="B54" s="105"/>
      <c r="C54" s="105"/>
      <c r="D54" s="105"/>
      <c r="E54" s="105"/>
      <c r="F54" s="105"/>
      <c r="G54" s="105"/>
      <c r="H54" s="105"/>
      <c r="I54" s="105"/>
      <c r="J54" s="105"/>
      <c r="K54" s="105"/>
      <c r="L54" s="105"/>
      <c r="M54" s="105"/>
      <c r="N54" s="105"/>
      <c r="O54" s="105"/>
    </row>
    <row r="55" spans="1:15" ht="18">
      <c r="A55" s="88"/>
      <c r="B55" s="88"/>
      <c r="C55" s="88"/>
      <c r="D55" s="88"/>
      <c r="E55" s="88"/>
      <c r="F55" s="88"/>
      <c r="G55" s="88"/>
      <c r="H55" s="88"/>
      <c r="I55" s="88"/>
      <c r="J55" s="88"/>
      <c r="K55" s="88"/>
      <c r="L55" s="88"/>
      <c r="M55" s="88"/>
      <c r="N55" s="88"/>
      <c r="O55" s="88"/>
    </row>
    <row r="56" spans="1:16" ht="18">
      <c r="A56" s="4" t="s">
        <v>70</v>
      </c>
      <c r="B56" s="104" t="str">
        <f>CONCATENATE("אם נעיין בלוח השנה נראה שכתוב בו שהמולד של החודש הוא: ",C60," ",C61," ",D60," ",D61,", ",E60," ",E61," ו-",G60," ",G61,)</f>
        <v>אם נעיין בלוח השנה נראה שכתוב בו שהמולד של החודש הוא: יום ראשון שעה 12, 54 דקות ו-10 חלקים</v>
      </c>
      <c r="C56" s="104"/>
      <c r="D56" s="104"/>
      <c r="E56" s="104"/>
      <c r="F56" s="104"/>
      <c r="G56" s="104"/>
      <c r="H56" s="104"/>
      <c r="I56" s="104"/>
      <c r="J56" s="104"/>
      <c r="K56" s="104"/>
      <c r="L56" s="104"/>
      <c r="M56" s="104"/>
      <c r="N56" s="104"/>
      <c r="O56" s="104"/>
      <c r="P56" s="104"/>
    </row>
    <row r="57" ht="33.75" customHeight="1">
      <c r="A57" s="76" t="s">
        <v>78</v>
      </c>
    </row>
    <row r="58" spans="1:17" ht="150" customHeight="1">
      <c r="A58" s="99" t="s">
        <v>82</v>
      </c>
      <c r="B58" s="99"/>
      <c r="C58" s="99"/>
      <c r="D58" s="99"/>
      <c r="E58" s="99"/>
      <c r="F58" s="99"/>
      <c r="G58" s="99"/>
      <c r="H58" s="99"/>
      <c r="I58" s="99"/>
      <c r="J58" s="99"/>
      <c r="K58" s="99"/>
      <c r="L58" s="99"/>
      <c r="M58" s="99"/>
      <c r="N58" s="99"/>
      <c r="O58" s="99"/>
      <c r="P58" s="97"/>
      <c r="Q58" s="97"/>
    </row>
    <row r="59" spans="1:7" ht="18">
      <c r="A59" s="52" t="s">
        <v>68</v>
      </c>
      <c r="B59" s="53"/>
      <c r="C59" s="54">
        <f>C51</f>
        <v>1</v>
      </c>
      <c r="D59" s="54">
        <f>C50</f>
        <v>18</v>
      </c>
      <c r="E59" s="53"/>
      <c r="F59" s="53"/>
      <c r="G59" s="54">
        <f>C49</f>
        <v>982</v>
      </c>
    </row>
    <row r="60" spans="1:7" ht="18">
      <c r="A60" s="9" t="s">
        <v>69</v>
      </c>
      <c r="B60" s="24"/>
      <c r="C60" s="24" t="str">
        <f>IF(B13&lt;12,"ליל","יום")</f>
        <v>יום</v>
      </c>
      <c r="D60" s="24" t="s">
        <v>51</v>
      </c>
      <c r="E60" s="24">
        <f>INT(B14/18)</f>
        <v>54</v>
      </c>
      <c r="F60" s="24"/>
      <c r="G60" s="24">
        <f>MOD(B14,18)</f>
        <v>10</v>
      </c>
    </row>
    <row r="61" spans="1:7" ht="18">
      <c r="A61" s="9"/>
      <c r="B61" s="24"/>
      <c r="C61" s="24" t="str">
        <f>IF(B12=1,"ראשון",IF(B12=2,"שני",IF(B12=3,"שלישי",IF(B12=4,"רביעי",IF(B12=5,"חמישי",IF(B12=6,"שישי","שבת"))))))</f>
        <v>ראשון</v>
      </c>
      <c r="D61" s="24">
        <f>IF(B13&lt;6,B13+18,B13-6)</f>
        <v>12</v>
      </c>
      <c r="E61" s="24" t="s">
        <v>64</v>
      </c>
      <c r="F61" s="24"/>
      <c r="G61" s="24" t="str">
        <f>A49</f>
        <v>חלקים</v>
      </c>
    </row>
  </sheetData>
  <sheetProtection password="95B8" sheet="1" objects="1" scenarios="1"/>
  <mergeCells count="31">
    <mergeCell ref="N43:O43"/>
    <mergeCell ref="A1:M1"/>
    <mergeCell ref="K47:L47"/>
    <mergeCell ref="A6:E6"/>
    <mergeCell ref="I3:M3"/>
    <mergeCell ref="A4:N4"/>
    <mergeCell ref="A19:N19"/>
    <mergeCell ref="A2:M2"/>
    <mergeCell ref="A18:I18"/>
    <mergeCell ref="J18:N18"/>
    <mergeCell ref="D8:E8"/>
    <mergeCell ref="A24:C24"/>
    <mergeCell ref="C50:D50"/>
    <mergeCell ref="C51:D51"/>
    <mergeCell ref="A50:B50"/>
    <mergeCell ref="C49:D49"/>
    <mergeCell ref="A17:N17"/>
    <mergeCell ref="A54:O54"/>
    <mergeCell ref="A51:B51"/>
    <mergeCell ref="A49:B49"/>
    <mergeCell ref="C48:D48"/>
    <mergeCell ref="G6:M6"/>
    <mergeCell ref="A58:O58"/>
    <mergeCell ref="M48:N48"/>
    <mergeCell ref="F48:H48"/>
    <mergeCell ref="A16:O16"/>
    <mergeCell ref="A23:C23"/>
    <mergeCell ref="A37:H37"/>
    <mergeCell ref="A42:J42"/>
    <mergeCell ref="A47:J47"/>
    <mergeCell ref="B56:P56"/>
  </mergeCells>
  <dataValidations count="2">
    <dataValidation type="whole" allowBlank="1" showInputMessage="1" showErrorMessage="1" promptTitle="שגיאה בנתון" sqref="E9">
      <formula1>1</formula1>
      <formula2>13</formula2>
    </dataValidation>
    <dataValidation type="whole" allowBlank="1" showInputMessage="1" showErrorMessage="1" sqref="E7">
      <formula1>1</formula1>
      <formula2>9999</formula2>
    </dataValidation>
  </dataValidations>
  <hyperlinks>
    <hyperlink ref="J18:N18" r:id="rId1" display="כיצד מחשבים את המולדות?"/>
  </hyperlinks>
  <printOptions/>
  <pageMargins left="0.14" right="0.13" top="0.5" bottom="0.5" header="0.5" footer="0.5"/>
  <pageSetup horizontalDpi="600" verticalDpi="600" orientation="landscape" paperSize="9" r:id="rId2"/>
  <rowBreaks count="1" manualBreakCount="1">
    <brk id="37" max="255" man="1"/>
  </rowBreaks>
</worksheet>
</file>

<file path=xl/worksheets/sheet2.xml><?xml version="1.0" encoding="utf-8"?>
<worksheet xmlns="http://schemas.openxmlformats.org/spreadsheetml/2006/main" xmlns:r="http://schemas.openxmlformats.org/officeDocument/2006/relationships">
  <dimension ref="A1:K20"/>
  <sheetViews>
    <sheetView rightToLeft="1" workbookViewId="0" topLeftCell="A1">
      <selection activeCell="F15" sqref="F15"/>
    </sheetView>
  </sheetViews>
  <sheetFormatPr defaultColWidth="9.140625" defaultRowHeight="12.75"/>
  <cols>
    <col min="2" max="11" width="9.140625" style="1" customWidth="1"/>
  </cols>
  <sheetData>
    <row r="1" ht="12.75">
      <c r="B1" s="1">
        <f>מולדות!E7</f>
        <v>0</v>
      </c>
    </row>
    <row r="2" ht="12.75">
      <c r="A2" t="s">
        <v>52</v>
      </c>
    </row>
    <row r="3" spans="2:5" ht="12.75">
      <c r="B3" s="1" t="s">
        <v>53</v>
      </c>
      <c r="C3" s="1" t="s">
        <v>54</v>
      </c>
      <c r="D3" s="1" t="s">
        <v>55</v>
      </c>
      <c r="E3" s="1" t="s">
        <v>56</v>
      </c>
    </row>
    <row r="4" spans="2:5" ht="12.75">
      <c r="B4" s="1">
        <f>INT(B$1/1000)</f>
        <v>0</v>
      </c>
      <c r="C4" s="1">
        <f>INT((B$1-B4*1000)/100)</f>
        <v>0</v>
      </c>
      <c r="D4" s="1">
        <f>INT((B$1-B4*1000-C4*100)/10)</f>
        <v>0</v>
      </c>
      <c r="E4" s="1">
        <f>INT((B$1-B4*1000-C4*100-D4*10)/1)</f>
        <v>0</v>
      </c>
    </row>
    <row r="5" spans="1:5" ht="12.75">
      <c r="A5">
        <v>0</v>
      </c>
      <c r="B5" s="1">
        <f>IF(B$4=$A5,"","")</f>
      </c>
      <c r="C5" s="1">
        <f>IF(C$4=$A5,"","")</f>
      </c>
      <c r="D5" s="1">
        <f>IF(D$4=$A5,"","")</f>
      </c>
      <c r="E5" s="1">
        <f>IF(E$4=$A5,"","")</f>
      </c>
    </row>
    <row r="6" spans="1:5" ht="12.75">
      <c r="A6">
        <v>1</v>
      </c>
      <c r="B6" s="1">
        <f>IF(B$4=$A6,"א'","")</f>
      </c>
      <c r="C6" s="1">
        <f>IF(C$4=$A6,"ק","")</f>
      </c>
      <c r="D6" s="1">
        <f>IF(D$4=$A6,"י","")</f>
      </c>
      <c r="E6" s="1">
        <f>IF(E$4=$A6,"א","")</f>
      </c>
    </row>
    <row r="7" spans="1:5" ht="12.75">
      <c r="A7">
        <v>2</v>
      </c>
      <c r="B7" s="1">
        <f>IF(B$4=$A7,"ב'","")</f>
      </c>
      <c r="C7" s="1">
        <f>IF(C$4=$A7,"ר","")</f>
      </c>
      <c r="D7" s="1">
        <f>IF(D$4=$A7,"כ","")</f>
      </c>
      <c r="E7" s="1">
        <f>IF(E$4=$A7,"ב","")</f>
      </c>
    </row>
    <row r="8" spans="1:5" ht="12.75">
      <c r="A8">
        <v>3</v>
      </c>
      <c r="B8" s="1">
        <f>IF(B$4=$A8,"ג'","")</f>
      </c>
      <c r="C8" s="1">
        <f>IF(C$4=$A8,"ש","")</f>
      </c>
      <c r="D8" s="1">
        <f>IF(D$4=$A8,"ל","")</f>
      </c>
      <c r="E8" s="1">
        <f>IF(E$4=$A8,"ג","")</f>
      </c>
    </row>
    <row r="9" spans="1:5" ht="12.75">
      <c r="A9">
        <v>4</v>
      </c>
      <c r="B9" s="1">
        <f>IF(B$4=$A9,"ד'","")</f>
      </c>
      <c r="C9" s="1">
        <f>IF(C$4=$A9,"ת","")</f>
      </c>
      <c r="D9" s="1">
        <f>IF(D$4=$A9,"מ","")</f>
      </c>
      <c r="E9" s="1">
        <f>IF(E$4=$A9,"ד","")</f>
      </c>
    </row>
    <row r="10" spans="1:5" ht="12.75">
      <c r="A10">
        <v>5</v>
      </c>
      <c r="B10" s="1">
        <f>IF(B$4=$A10,"ה'","")</f>
      </c>
      <c r="C10" s="1">
        <f>IF(C$4=$A10,"תק","")</f>
      </c>
      <c r="D10" s="1">
        <f>IF(D$4=$A10,"נ","")</f>
      </c>
      <c r="E10" s="1">
        <f>IF(E$4=$A10,"ה","")</f>
      </c>
    </row>
    <row r="11" spans="1:5" ht="12.75">
      <c r="A11">
        <v>6</v>
      </c>
      <c r="B11" s="1">
        <f>IF(B$4=$A11,"ו'","")</f>
      </c>
      <c r="C11" s="1">
        <f>IF(C$4=$A11,"תר","")</f>
      </c>
      <c r="D11" s="1">
        <f>IF(D$4=$A11,"ס","")</f>
      </c>
      <c r="E11" s="1">
        <f>IF(E$4=$A11,"ו","")</f>
      </c>
    </row>
    <row r="12" spans="1:5" ht="12.75">
      <c r="A12">
        <v>7</v>
      </c>
      <c r="B12" s="1">
        <f>IF(B$4=$A12,"ז'","")</f>
      </c>
      <c r="C12" s="1">
        <f>IF(C$4=$A12,"תש","")</f>
      </c>
      <c r="D12" s="1">
        <f>IF(D$4=$A12,"ע","")</f>
      </c>
      <c r="E12" s="1">
        <f>IF(E$4=$A12,"ז","")</f>
      </c>
    </row>
    <row r="13" spans="1:5" ht="12.75">
      <c r="A13">
        <v>8</v>
      </c>
      <c r="B13" s="1">
        <f>IF(B$4=$A13,"ח'","")</f>
      </c>
      <c r="C13" s="1">
        <f>IF(C$4=$A13,"תת","")</f>
      </c>
      <c r="D13" s="1">
        <f>IF(D$4=$A13,"פ","")</f>
      </c>
      <c r="E13" s="1">
        <f>IF(E$4=$A13,"ח","")</f>
      </c>
    </row>
    <row r="14" spans="1:5" ht="12.75">
      <c r="A14">
        <v>9</v>
      </c>
      <c r="B14" s="1">
        <f>IF(B$4=$A14,"ט'","")</f>
      </c>
      <c r="C14" s="1">
        <f>IF(C$4=$A14,"תתק","")</f>
      </c>
      <c r="D14" s="1">
        <f>IF(D$4=$A14,"צ","")</f>
      </c>
      <c r="E14" s="1">
        <f>IF(E$4=$A14,"ט","")</f>
      </c>
    </row>
    <row r="15" spans="2:11" ht="12.75">
      <c r="B15" s="1">
        <f>CONCATENATE(B6,B7,B8,B9,B10,B11,B12,B13,B14)</f>
      </c>
      <c r="C15" s="1">
        <f>CONCATENATE(C6,C7,C8,C9,C10,C11,C12,C13,C14)</f>
      </c>
      <c r="D15" s="1">
        <f>CONCATENATE(D6,D7,D8,D9,D10,D11,D12,D13,D14)</f>
      </c>
      <c r="E15" s="1">
        <f>CONCATENATE(E6,E7,E8,E9,E10,E11,E12,E13,E14)</f>
      </c>
      <c r="F15" s="1">
        <f>CONCATENATE(B15,C15,D15,E15)</f>
      </c>
      <c r="G15" s="1">
        <f>LEN(F15)</f>
        <v>0</v>
      </c>
      <c r="H15" s="1" t="e">
        <f>LEFT(F15,G15-1)</f>
        <v>#VALUE!</v>
      </c>
      <c r="I15" s="1">
        <f>RIGHT(F15,1)</f>
      </c>
      <c r="J15" s="1">
        <f>IF(I$15="מ","ם","")</f>
      </c>
      <c r="K15" s="1" t="s">
        <v>57</v>
      </c>
    </row>
    <row r="16" spans="10:11" ht="12.75">
      <c r="J16" s="1">
        <f>IF(I$15="נ","ן","")</f>
      </c>
      <c r="K16" s="1" t="s">
        <v>58</v>
      </c>
    </row>
    <row r="17" spans="10:11" ht="12.75">
      <c r="J17" s="1">
        <f>IF(I$15="צ","ץ","")</f>
      </c>
      <c r="K17" s="1" t="s">
        <v>59</v>
      </c>
    </row>
    <row r="18" spans="10:11" ht="12.75">
      <c r="J18" s="1">
        <f>IF(I$15="פ","ף","")</f>
      </c>
      <c r="K18" s="1" t="s">
        <v>60</v>
      </c>
    </row>
    <row r="19" spans="10:11" ht="12.75">
      <c r="J19" s="1">
        <f>IF(I$15="כ","ך","")</f>
      </c>
      <c r="K19" s="1" t="s">
        <v>61</v>
      </c>
    </row>
    <row r="20" spans="9:11" ht="12.75">
      <c r="I20" s="1">
        <f>IF(J20="",I15,"")</f>
      </c>
      <c r="J20" s="1">
        <f>CONCATENATE(J15,J16,J17,J18,J19)</f>
      </c>
      <c r="K20" s="2" t="e">
        <f>CONCATENATE(H15,"''",I20,J20)</f>
        <v>#VALUE!</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ניסן יואלי</dc:creator>
  <cp:keywords/>
  <dc:description/>
  <cp:lastModifiedBy>user</cp:lastModifiedBy>
  <cp:lastPrinted>2010-11-12T06:12:58Z</cp:lastPrinted>
  <dcterms:created xsi:type="dcterms:W3CDTF">2005-04-28T10:27:42Z</dcterms:created>
  <dcterms:modified xsi:type="dcterms:W3CDTF">2014-01-01T11:21:24Z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